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<sst xmlns="http://schemas.openxmlformats.org/spreadsheetml/2006/main" count="82" uniqueCount="71">
  <si>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</si>
  <si>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</si>
  <si>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</si>
  <si>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</si>
  <si>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</si>
  <si>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</si>
  <si>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</si>
  <si>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</si>
  <si>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</si>
  <si>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</si>
  <si>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</si>
  <si>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</si>
  <si>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</si>
  <si>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</si>
  <si>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</si>
  <si>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</si>
  <si>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</si>
  <si>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</si>
  <si>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</si>
  <si>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</si>
  <si>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</si>
  <si>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</si>
  <si>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</si>
  <si>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</si>
  <si>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</si>
  <si>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</si>
  <si>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</si>
  <si>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</si>
  <si>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</si>
  <si>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</si>
  <si>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</si>
  <si>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</si>
  <si>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</si>
  <si>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</si>
  <si>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</si>
  <si>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</si>
  <si>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</si>
  <si>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</si>
  <si>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</si>
  <si>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</si>
  <si>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</si>
  <si>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</si>
  <si>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</si>
  <si>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</si>
  <si>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</si>
  <si>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</si>
  <si>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</si>
  <si>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</si>
  <si>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</si>
  <si>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</si>
  <si>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</si>
  <si>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</si>
  <si>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</si>
  <si>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</si>
  <si>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</si>
  <si>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</si>
  <si>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</si>
  <si>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</si>
  <si>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</si>
  <si>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</si>
  <si>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</si>
  <si>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</si>
  <si>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</si>
  <si>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</si>
  <si>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</si>
  <si>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</si>
  <si>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|</t>
  </si>
  <si>
    <t>*Incluye petróleo y condensandos más Líquidos de Gas Natural (LGN).</t>
  </si>
  <si>
    <t>PRODUCCIÓN FISCALIZADA PROMEDIO DE HIDROCARBUROS
AL 28 DE FEBRERO DEL 2019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</si>
  <si>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febrero 2019 fue de 142,489 Bpd; superior en 11,199  Bpd comparado al  mes anterior.   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</si>
  <si>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febrero 2019 fue de 1,264 MMPCD, inferior en 52 MMPCD comparado al mes anterior.</t>
    </r>
  </si>
</sst>
</file>

<file path=xl/styles.xml><?xml version="1.0" encoding="utf-8"?>
<styleSheet xmlns="http://schemas.openxmlformats.org/spreadsheetml/2006/main">
  <numFmts count="4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&quot;\ #,##0;&quot;S/&quot;\ \-#,##0"/>
    <numFmt numFmtId="173" formatCode="&quot;S/&quot;\ #,##0;[Red]&quot;S/&quot;\ \-#,##0"/>
    <numFmt numFmtId="174" formatCode="&quot;S/&quot;\ #,##0.00;&quot;S/&quot;\ \-#,##0.00"/>
    <numFmt numFmtId="175" formatCode="&quot;S/&quot;\ #,##0.00;[Red]&quot;S/&quot;\ \-#,##0.00"/>
    <numFmt numFmtId="176" formatCode="_ &quot;S/&quot;\ * #,##0_ ;_ &quot;S/&quot;\ * \-#,##0_ ;_ &quot;S/&quot;\ * &quot;-&quot;_ ;_ @_ "/>
    <numFmt numFmtId="177" formatCode="_ * #,##0_ ;_ * \-#,##0_ ;_ * &quot;-&quot;_ ;_ @_ "/>
    <numFmt numFmtId="178" formatCode="_ &quot;S/&quot;\ * #,##0.00_ ;_ &quot;S/&quot;\ * \-#,##0.00_ ;_ &quot;S/&quot;\ * &quot;-&quot;??_ ;_ @_ "/>
    <numFmt numFmtId="179" formatCode="_ * #,##0.00_ ;_ * \-#,##0.00_ ;_ * &quot;-&quot;??_ ;_ @_ 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,##0\ _S_/_._-;\-* #,##0\ _S_/_._-;_-* &quot;-&quot;\ _S_/_._-;_-@_-"/>
    <numFmt numFmtId="193" formatCode="_-* #,##0.00\ _S_/_._-;\-* #,##0.00\ _S_/_._-;_-* &quot;-&quot;??\ _S_/_._-;_-@_-"/>
    <numFmt numFmtId="194" formatCode="0.000"/>
    <numFmt numFmtId="195" formatCode="0.0"/>
    <numFmt numFmtId="196" formatCode="#,##0.0"/>
    <numFmt numFmtId="197" formatCode="_-* #,##0\ _S_/_._-;\-* #,##0\ _S_/_._-;_-* &quot;-&quot;??\ _S_/_._-;_-@_-"/>
    <numFmt numFmtId="198" formatCode="0.000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sz val="16"/>
      <color indexed="6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7.8"/>
      <color indexed="8"/>
      <name val="Calibri"/>
      <family val="0"/>
    </font>
    <font>
      <sz val="7.8"/>
      <color indexed="60"/>
      <name val="Calibri"/>
      <family val="0"/>
    </font>
    <font>
      <sz val="7.8"/>
      <color indexed="56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3"/>
      <name val="Calibri"/>
      <family val="2"/>
    </font>
    <font>
      <b/>
      <u val="single"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30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48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7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97" fontId="0" fillId="0" borderId="0" xfId="47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7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96" fontId="0" fillId="0" borderId="0" xfId="0" applyNumberFormat="1" applyFont="1" applyFill="1" applyAlignment="1">
      <alignment horizontal="center"/>
    </xf>
    <xf numFmtId="196" fontId="0" fillId="0" borderId="0" xfId="0" applyNumberFormat="1" applyAlignment="1">
      <alignment horizontal="center"/>
    </xf>
    <xf numFmtId="196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198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194" fontId="0" fillId="37" borderId="0" xfId="0" applyNumberFormat="1" applyFill="1" applyAlignment="1">
      <alignment/>
    </xf>
    <xf numFmtId="3" fontId="0" fillId="37" borderId="10" xfId="48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195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196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69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69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69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69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34" fillId="37" borderId="0" xfId="0" applyFont="1" applyFill="1" applyAlignment="1">
      <alignment/>
    </xf>
    <xf numFmtId="0" fontId="35" fillId="37" borderId="0" xfId="0" applyFont="1" applyFill="1" applyAlignment="1">
      <alignment/>
    </xf>
    <xf numFmtId="0" fontId="36" fillId="37" borderId="0" xfId="0" applyFont="1" applyFill="1" applyAlignment="1">
      <alignment/>
    </xf>
    <xf numFmtId="1" fontId="34" fillId="37" borderId="0" xfId="0" applyNumberFormat="1" applyFont="1" applyFill="1" applyAlignment="1">
      <alignment/>
    </xf>
    <xf numFmtId="0" fontId="37" fillId="37" borderId="0" xfId="0" applyFont="1" applyFill="1" applyAlignment="1">
      <alignment/>
    </xf>
    <xf numFmtId="0" fontId="34" fillId="37" borderId="0" xfId="0" applyFont="1" applyFill="1" applyBorder="1" applyAlignment="1">
      <alignment/>
    </xf>
    <xf numFmtId="0" fontId="34" fillId="37" borderId="0" xfId="0" applyFont="1" applyFill="1" applyBorder="1" applyAlignment="1">
      <alignment horizontal="center" vertical="center"/>
    </xf>
    <xf numFmtId="0" fontId="36" fillId="37" borderId="0" xfId="0" applyFont="1" applyFill="1" applyBorder="1" applyAlignment="1">
      <alignment/>
    </xf>
    <xf numFmtId="0" fontId="38" fillId="37" borderId="0" xfId="0" applyFont="1" applyFill="1" applyAlignment="1">
      <alignment/>
    </xf>
    <xf numFmtId="0" fontId="34" fillId="37" borderId="0" xfId="0" applyFont="1" applyFill="1" applyBorder="1" applyAlignment="1">
      <alignment/>
    </xf>
    <xf numFmtId="3" fontId="34" fillId="37" borderId="0" xfId="0" applyNumberFormat="1" applyFont="1" applyFill="1" applyAlignment="1">
      <alignment/>
    </xf>
    <xf numFmtId="3" fontId="38" fillId="37" borderId="0" xfId="0" applyNumberFormat="1" applyFont="1" applyFill="1" applyAlignment="1">
      <alignment/>
    </xf>
    <xf numFmtId="195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197" fontId="0" fillId="13" borderId="10" xfId="47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49" fontId="70" fillId="37" borderId="0" xfId="0" applyNumberFormat="1" applyFont="1" applyFill="1" applyBorder="1" applyAlignment="1">
      <alignment vertical="top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197" fontId="0" fillId="11" borderId="10" xfId="47" applyNumberFormat="1" applyFont="1" applyFill="1" applyBorder="1" applyAlignment="1">
      <alignment/>
    </xf>
    <xf numFmtId="0" fontId="0" fillId="11" borderId="0" xfId="0" applyFill="1" applyAlignment="1">
      <alignment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3" fontId="0" fillId="37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9" fillId="37" borderId="0" xfId="0" applyFont="1" applyFill="1" applyAlignment="1">
      <alignment horizontal="center" vertical="center" wrapText="1"/>
    </xf>
    <xf numFmtId="0" fontId="71" fillId="41" borderId="0" xfId="0" applyFont="1" applyFill="1" applyBorder="1" applyAlignment="1">
      <alignment horizontal="left" wrapText="1"/>
    </xf>
    <xf numFmtId="0" fontId="34" fillId="41" borderId="0" xfId="0" applyFont="1" applyFill="1" applyBorder="1" applyAlignment="1">
      <alignment horizontal="justify" vertical="center" wrapText="1"/>
    </xf>
    <xf numFmtId="0" fontId="34" fillId="41" borderId="0" xfId="0" applyFont="1" applyFill="1" applyBorder="1" applyAlignment="1">
      <alignment horizontal="left" wrapText="1"/>
    </xf>
    <xf numFmtId="0" fontId="41" fillId="41" borderId="0" xfId="0" applyFont="1" applyFill="1" applyBorder="1" applyAlignment="1">
      <alignment horizontal="left" wrapText="1"/>
    </xf>
    <xf numFmtId="49" fontId="70" fillId="37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0315710"/>
        <c:axId val="25732527"/>
      </c:scatterChart>
      <c:valAx>
        <c:axId val="103157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32527"/>
        <c:crosses val="autoZero"/>
        <c:crossBetween val="midCat"/>
        <c:dispUnits/>
      </c:valAx>
      <c:valAx>
        <c:axId val="25732527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15710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0266152"/>
        <c:axId val="3959913"/>
      </c:scatterChart>
      <c:valAx>
        <c:axId val="30266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59913"/>
        <c:crosses val="autoZero"/>
        <c:crossBetween val="midCat"/>
        <c:dispUnits/>
      </c:valAx>
      <c:valAx>
        <c:axId val="3959913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266152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30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7725"/>
          <c:w val="0.90375"/>
          <c:h val="0.7792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(no)'!$C$175:$C$309</c:f>
              <c:numCache>
                <c:ptCount val="135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  <c:pt idx="134">
                  <c:v>2019.166656600015</c:v>
                </c:pt>
              </c:numCache>
            </c:numRef>
          </c:xVal>
          <c:yVal>
            <c:numRef>
              <c:f>'ESTRUCTURA oil (no)'!$AI$175:$AI$309</c:f>
              <c:numCache>
                <c:ptCount val="135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  <c:pt idx="134">
                  <c:v>142489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(no)'!$C$19:$C$309</c:f>
              <c:numCache>
                <c:ptCount val="291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  <c:pt idx="290">
                  <c:v>2019.166656600015</c:v>
                </c:pt>
              </c:numCache>
            </c:numRef>
          </c:xVal>
          <c:yVal>
            <c:numRef>
              <c:f>'ESTRUCTURA oil (no)'!$AJ$19:$AJ$309</c:f>
              <c:numCache>
                <c:ptCount val="291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136605</c:v>
                </c:pt>
                <c:pt idx="290">
                  <c:v>136605</c:v>
                </c:pt>
              </c:numCache>
            </c:numRef>
          </c:yVal>
          <c:smooth val="0"/>
        </c:ser>
        <c:axId val="35639218"/>
        <c:axId val="52317507"/>
      </c:scatterChart>
      <c:valAx>
        <c:axId val="35639218"/>
        <c:scaling>
          <c:orientation val="minMax"/>
          <c:max val="2019.2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2317507"/>
        <c:crosses val="autoZero"/>
        <c:crossBetween val="midCat"/>
        <c:dispUnits/>
        <c:majorUnit val="1"/>
        <c:minorUnit val="0.1"/>
      </c:valAx>
      <c:valAx>
        <c:axId val="52317507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7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5639218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475"/>
          <c:y val="0.942"/>
          <c:w val="0.7922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37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29"/>
          <c:w val="0.9345"/>
          <c:h val="0.7817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(no)'!$B$167:$B$306</c:f>
              <c:numCache>
                <c:ptCount val="140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</c:numCache>
            </c:numRef>
          </c:xVal>
          <c:yVal>
            <c:numRef>
              <c:f>'ESTRUCTURA gas (no)'!$N$167:$N$306</c:f>
              <c:numCache>
                <c:ptCount val="140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  <c:pt idx="139">
                  <c:v>1264159.3536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3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(no)'!$B$167:$B$306</c:f>
              <c:numCache>
                <c:ptCount val="140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</c:numCache>
            </c:numRef>
          </c:xVal>
          <c:yVal>
            <c:numRef>
              <c:f>'ESTRUCTURA gas (no)'!$O$167:$O$306</c:f>
              <c:numCache>
                <c:ptCount val="140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1315946.6183</c:v>
                </c:pt>
                <c:pt idx="139">
                  <c:v>1291369.6116</c:v>
                </c:pt>
              </c:numCache>
            </c:numRef>
          </c:yVal>
          <c:smooth val="0"/>
        </c:ser>
        <c:axId val="1095516"/>
        <c:axId val="9859645"/>
      </c:scatterChart>
      <c:valAx>
        <c:axId val="1095516"/>
        <c:scaling>
          <c:orientation val="minMax"/>
          <c:max val="2019.2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859645"/>
        <c:crosses val="autoZero"/>
        <c:crossBetween val="midCat"/>
        <c:dispUnits/>
        <c:majorUnit val="1"/>
        <c:minorUnit val="0.1"/>
      </c:valAx>
      <c:valAx>
        <c:axId val="9859645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1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095516"/>
        <c:crossesAt val="1996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80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80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5025"/>
          <c:y val="0.91825"/>
          <c:w val="0.513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1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3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4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5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6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7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8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9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10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11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12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13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14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15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16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17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18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19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20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21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22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23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24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25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26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27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28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29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30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31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32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33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34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35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36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37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38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39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40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41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42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43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44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45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46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47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48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49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50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51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52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53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54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55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56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57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58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59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60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61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62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63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64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0.44475</cdr:x>
      <cdr:y>0.51525</cdr:y>
    </cdr:from>
    <cdr:to>
      <cdr:x>0.45475</cdr:x>
      <cdr:y>0.5615</cdr:y>
    </cdr:to>
    <cdr:sp>
      <cdr:nvSpPr>
        <cdr:cNvPr id="1" name="Text Box 1"/>
        <cdr:cNvSpPr txBox="1">
          <a:spLocks noChangeArrowheads="1"/>
        </cdr:cNvSpPr>
      </cdr:nvSpPr>
      <cdr:spPr>
        <a:xfrm>
          <a:off x="3114675" y="1895475"/>
          <a:ext cx="66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12</xdr:col>
      <xdr:colOff>161925</xdr:colOff>
      <xdr:row>30</xdr:row>
      <xdr:rowOff>95250</xdr:rowOff>
    </xdr:to>
    <xdr:graphicFrame>
      <xdr:nvGraphicFramePr>
        <xdr:cNvPr id="1" name="Chart 1026"/>
        <xdr:cNvGraphicFramePr/>
      </xdr:nvGraphicFramePr>
      <xdr:xfrm>
        <a:off x="619125" y="1066800"/>
        <a:ext cx="69151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13</xdr:col>
      <xdr:colOff>0</xdr:colOff>
      <xdr:row>74</xdr:row>
      <xdr:rowOff>9525</xdr:rowOff>
    </xdr:to>
    <xdr:graphicFrame>
      <xdr:nvGraphicFramePr>
        <xdr:cNvPr id="2" name="Chart 1027"/>
        <xdr:cNvGraphicFramePr/>
      </xdr:nvGraphicFramePr>
      <xdr:xfrm>
        <a:off x="609600" y="7058025"/>
        <a:ext cx="70104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09"/>
  <sheetViews>
    <sheetView zoomScalePageLayoutView="0" workbookViewId="0" topLeftCell="A5">
      <pane xSplit="4" ySplit="3" topLeftCell="AG289" activePane="bottomRight" state="frozen"/>
      <selection pane="topLeft" activeCell="A5" sqref="A5"/>
      <selection pane="topRight" activeCell="E5" sqref="E5"/>
      <selection pane="bottomLeft" activeCell="A8" sqref="A8"/>
      <selection pane="bottomRight" activeCell="AK309" sqref="AK309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82">
        <v>3869</v>
      </c>
      <c r="K85" s="282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82">
        <v>4034</v>
      </c>
      <c r="K86" s="282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82">
        <v>4285</v>
      </c>
      <c r="K87" s="282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82">
        <v>4266</v>
      </c>
      <c r="K88" s="282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82">
        <v>4352</v>
      </c>
      <c r="K89" s="282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87">
        <v>4271.266666666666</v>
      </c>
      <c r="K90" s="287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82">
        <v>4265.225806451613</v>
      </c>
      <c r="K91" s="282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82">
        <v>4113.322580645161</v>
      </c>
      <c r="K92" s="282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82">
        <v>4045.214285714286</v>
      </c>
      <c r="K93" s="282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82">
        <v>3904.064516129032</v>
      </c>
      <c r="K94" s="282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82">
        <v>4358.2</v>
      </c>
      <c r="K95" s="282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82">
        <v>4537.387096774193</v>
      </c>
      <c r="K96" s="282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82">
        <v>4451</v>
      </c>
      <c r="K97" s="282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82">
        <v>4561</v>
      </c>
      <c r="K98" s="282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82">
        <v>4385</v>
      </c>
      <c r="K99" s="282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82">
        <v>4487</v>
      </c>
      <c r="K100" s="282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82">
        <v>4265</v>
      </c>
      <c r="K101" s="282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82">
        <v>4133</v>
      </c>
      <c r="K102" s="282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82">
        <v>3945</v>
      </c>
      <c r="K103" s="282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82">
        <v>3743</v>
      </c>
      <c r="K104" s="282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82">
        <v>3792</v>
      </c>
      <c r="K105" s="282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82">
        <v>3462</v>
      </c>
      <c r="K106" s="282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82">
        <v>3441</v>
      </c>
      <c r="K107" s="282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82">
        <v>3531</v>
      </c>
      <c r="K108" s="282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82">
        <v>3546</v>
      </c>
      <c r="K109" s="282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82">
        <v>3405</v>
      </c>
      <c r="K110" s="282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82">
        <v>3341</v>
      </c>
      <c r="K111" s="282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82">
        <v>3357</v>
      </c>
      <c r="K112" s="282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82">
        <v>3346</v>
      </c>
      <c r="K113" s="282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82">
        <v>3341</v>
      </c>
      <c r="K114" s="282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82">
        <v>3291</v>
      </c>
      <c r="K115" s="282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82">
        <v>3103</v>
      </c>
      <c r="K116" s="282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82">
        <v>3002</v>
      </c>
      <c r="K117" s="282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82">
        <v>2920</v>
      </c>
      <c r="K118" s="282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82">
        <v>3023</v>
      </c>
      <c r="K119" s="282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82">
        <v>3080</v>
      </c>
      <c r="K120" s="282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82">
        <v>3168</v>
      </c>
      <c r="K121" s="282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82">
        <v>3369</v>
      </c>
      <c r="K122" s="282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82">
        <v>3462</v>
      </c>
      <c r="K123" s="282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82">
        <v>3406</v>
      </c>
      <c r="K124" s="282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82">
        <v>3500</v>
      </c>
      <c r="K125" s="282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82">
        <v>3472</v>
      </c>
      <c r="K126" s="282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82">
        <v>4015</v>
      </c>
      <c r="K127" s="282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82">
        <v>3622</v>
      </c>
      <c r="K128" s="282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82">
        <v>3604</v>
      </c>
      <c r="K129" s="282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82">
        <v>3645</v>
      </c>
      <c r="K130" s="282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82">
        <v>3604.5</v>
      </c>
      <c r="K131" s="282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82">
        <v>3630</v>
      </c>
      <c r="K132" s="282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82">
        <v>3661.0666666666666</v>
      </c>
      <c r="K133" s="282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82">
        <v>3662.032258064516</v>
      </c>
      <c r="K134" s="282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82">
        <v>3615.6451612903224</v>
      </c>
      <c r="K135" s="282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82">
        <v>3657.0333333333333</v>
      </c>
      <c r="K136" s="282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82">
        <v>3615.483870967742</v>
      </c>
      <c r="K137" s="282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82">
        <v>3553.5666666666666</v>
      </c>
      <c r="K138" s="282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82">
        <v>3515</v>
      </c>
      <c r="K139" s="282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82">
        <v>3414</v>
      </c>
      <c r="K140" s="282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82">
        <v>3357</v>
      </c>
      <c r="K141" s="282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82">
        <v>3434.3225806451615</v>
      </c>
      <c r="K142" s="282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82">
        <v>3363</v>
      </c>
      <c r="K143" s="282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82">
        <v>3416</v>
      </c>
      <c r="K144" s="282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82">
        <v>3386</v>
      </c>
      <c r="K145" s="282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82">
        <v>3353</v>
      </c>
      <c r="K146" s="282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82">
        <v>3355</v>
      </c>
      <c r="K147" s="282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82">
        <v>3402</v>
      </c>
      <c r="K148" s="282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82">
        <v>3320</v>
      </c>
      <c r="K149" s="282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82">
        <v>3087</v>
      </c>
      <c r="K150" s="286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82">
        <v>3053</v>
      </c>
      <c r="K151" s="286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82">
        <v>3163.19</v>
      </c>
      <c r="K152" s="282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86">
        <v>3199</v>
      </c>
      <c r="K153" s="286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86">
        <v>3167</v>
      </c>
      <c r="K154" s="286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86">
        <v>3182</v>
      </c>
      <c r="K155" s="286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82">
        <v>3146</v>
      </c>
      <c r="K156" s="282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82">
        <v>3103</v>
      </c>
      <c r="K157" s="282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82">
        <v>3059.6451612903224</v>
      </c>
      <c r="K158" s="282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85">
        <f>93766/31</f>
        <v>3024.7096774193546</v>
      </c>
      <c r="K159" s="285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86">
        <v>2984</v>
      </c>
      <c r="K160" s="286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82">
        <v>3008</v>
      </c>
      <c r="K161" s="282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86">
        <v>2909</v>
      </c>
      <c r="K162" s="286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82">
        <v>2685</v>
      </c>
      <c r="K163" s="282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86">
        <v>2853</v>
      </c>
      <c r="K164" s="286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82">
        <f>80304/28</f>
        <v>2868</v>
      </c>
      <c r="K165" s="282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82">
        <v>2812</v>
      </c>
      <c r="K166" s="282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85">
        <f>90267/30</f>
        <v>3008.9</v>
      </c>
      <c r="K167" s="285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85">
        <f>91935/31</f>
        <v>2965.6451612903224</v>
      </c>
      <c r="K168" s="285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85">
        <f>87309/30</f>
        <v>2910.3</v>
      </c>
      <c r="K169" s="285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85">
        <f>90019/31</f>
        <v>2903.8387096774195</v>
      </c>
      <c r="K170" s="285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85">
        <f>89184/31</f>
        <v>2876.9032258064517</v>
      </c>
      <c r="K171" s="285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85">
        <f>86428/30</f>
        <v>2880.9333333333334</v>
      </c>
      <c r="K172" s="285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85">
        <f>87919/31</f>
        <v>2836.0967741935483</v>
      </c>
      <c r="K173" s="285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85">
        <f>84130/30</f>
        <v>2804.3333333333335</v>
      </c>
      <c r="K174" s="285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85">
        <f>82208/31</f>
        <v>2651.8709677419356</v>
      </c>
      <c r="K175" s="285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85">
        <f>86419/31</f>
        <v>2787.7096774193546</v>
      </c>
      <c r="K176" s="285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85">
        <f>74593/29</f>
        <v>2572.1724137931033</v>
      </c>
      <c r="K177" s="285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82">
        <f>85577/31</f>
        <v>2760.548387096774</v>
      </c>
      <c r="K178" s="282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82">
        <f>82758/30</f>
        <v>2758.6</v>
      </c>
      <c r="K179" s="282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85">
        <f>85851/31</f>
        <v>2769.3870967741937</v>
      </c>
      <c r="K180" s="285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85">
        <f>87560/30</f>
        <v>2918.6666666666665</v>
      </c>
      <c r="K181" s="285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85">
        <f>88738/31</f>
        <v>2862.516129032258</v>
      </c>
      <c r="K182" s="285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82">
        <f>88926/31</f>
        <v>2868.5806451612902</v>
      </c>
      <c r="K183" s="282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82">
        <f>86401/30</f>
        <v>2880.0333333333333</v>
      </c>
      <c r="K184" s="282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82">
        <v>2812</v>
      </c>
      <c r="K185" s="282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82">
        <f>80326/30</f>
        <v>2677.5333333333333</v>
      </c>
      <c r="K186" s="282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82">
        <f>79547/31</f>
        <v>2566.032258064516</v>
      </c>
      <c r="K187" s="282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82">
        <f>84836/31</f>
        <v>2736.6451612903224</v>
      </c>
      <c r="K188" s="282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82">
        <f>77894/28</f>
        <v>2781.9285714285716</v>
      </c>
      <c r="K189" s="282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82">
        <f>85996/31</f>
        <v>2774.064516129032</v>
      </c>
      <c r="K190" s="282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82">
        <f>79835/30</f>
        <v>2661.1666666666665</v>
      </c>
      <c r="K191" s="282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82">
        <f>85955/31</f>
        <v>2772.7419354838707</v>
      </c>
      <c r="K192" s="282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82">
        <f>83911/30</f>
        <v>2797.0333333333333</v>
      </c>
      <c r="K193" s="282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82">
        <f>84624/31</f>
        <v>2729.8064516129034</v>
      </c>
      <c r="K194" s="282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82">
        <f>90419/31</f>
        <v>2916.7419354838707</v>
      </c>
      <c r="K195" s="282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82">
        <f>90750/30</f>
        <v>3025</v>
      </c>
      <c r="K196" s="282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82">
        <f>107300/31</f>
        <v>3461.2903225806454</v>
      </c>
      <c r="K197" s="282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82">
        <f>108534/30</f>
        <v>3617.8</v>
      </c>
      <c r="K198" s="282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82">
        <f>103950/31</f>
        <v>3353.2258064516127</v>
      </c>
      <c r="K199" s="282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82">
        <f>120268/31</f>
        <v>3879.6129032258063</v>
      </c>
      <c r="K200" s="282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82">
        <f>93325/28</f>
        <v>3333.035714285714</v>
      </c>
      <c r="K201" s="282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82">
        <f>109834/31</f>
        <v>3543.032258064516</v>
      </c>
      <c r="K202" s="282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82">
        <f>110030/30</f>
        <v>3667.6666666666665</v>
      </c>
      <c r="K203" s="282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82">
        <f>97085/31</f>
        <v>3131.7741935483873</v>
      </c>
      <c r="K204" s="282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82">
        <f>106530/30</f>
        <v>3551</v>
      </c>
      <c r="K205" s="282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82">
        <f>91473/31</f>
        <v>2950.7419354838707</v>
      </c>
      <c r="K206" s="282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82">
        <f>81817/31</f>
        <v>2639.2580645161293</v>
      </c>
      <c r="K207" s="282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82">
        <f>80223/30</f>
        <v>2674.1</v>
      </c>
      <c r="K208" s="282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82">
        <f>87966/31</f>
        <v>2837.6129032258063</v>
      </c>
      <c r="K209" s="282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82">
        <f>87026/30</f>
        <v>2900.866666666667</v>
      </c>
      <c r="K210" s="282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82">
        <v>2743</v>
      </c>
      <c r="K211" s="282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82">
        <f>84980/31</f>
        <v>2741.2903225806454</v>
      </c>
      <c r="K212" s="282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82">
        <f>81774/28</f>
        <v>2920.5</v>
      </c>
      <c r="K213" s="282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82">
        <f>87762/31</f>
        <v>2831.032258064516</v>
      </c>
      <c r="K214" s="282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82">
        <f>82573/30</f>
        <v>2752.4333333333334</v>
      </c>
      <c r="K215" s="282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82">
        <v>2798</v>
      </c>
      <c r="K216" s="282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82">
        <f>88734/30</f>
        <v>2957.8</v>
      </c>
      <c r="K217" s="282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82">
        <f>94911/31</f>
        <v>3061.6451612903224</v>
      </c>
      <c r="K218" s="282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82">
        <f>97382/31</f>
        <v>3141.3548387096776</v>
      </c>
      <c r="K219" s="282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82">
        <f>97457/30</f>
        <v>3248.5666666666666</v>
      </c>
      <c r="K220" s="282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82">
        <f>99680/31</f>
        <v>3215.483870967742</v>
      </c>
      <c r="K221" s="282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82">
        <f>104127/30</f>
        <v>3470.9</v>
      </c>
      <c r="K222" s="282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83">
        <v>3436</v>
      </c>
      <c r="K223" s="283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84">
        <v>3291.64516129032</v>
      </c>
      <c r="K224" s="284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82">
        <f>83102/29</f>
        <v>2865.5862068965516</v>
      </c>
      <c r="K225" s="282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82">
        <f>99764/31</f>
        <v>3218.1935483870966</v>
      </c>
      <c r="K226" s="282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82">
        <v>3018.4333333333334</v>
      </c>
      <c r="K227" s="282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82">
        <v>3254.41935483871</v>
      </c>
      <c r="K228" s="282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82">
        <v>3280.2</v>
      </c>
      <c r="K229" s="282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82">
        <v>3272.1612903225805</v>
      </c>
      <c r="K230" s="282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82">
        <v>3518.03225806452</v>
      </c>
      <c r="K231" s="282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82">
        <v>3496</v>
      </c>
      <c r="K232" s="282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82">
        <f>113288/31</f>
        <v>3654.451612903226</v>
      </c>
      <c r="K233" s="282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82">
        <v>3587</v>
      </c>
      <c r="K234" s="282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83">
        <v>3640.741935</v>
      </c>
      <c r="K235" s="283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83">
        <f>104345/31</f>
        <v>3365.967741935484</v>
      </c>
      <c r="K236" s="283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83">
        <f>98920/28</f>
        <v>3532.8571428571427</v>
      </c>
      <c r="K237" s="283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83">
        <f>93904/31</f>
        <v>3029.1612903225805</v>
      </c>
      <c r="K238" s="283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78">
        <f>95861/30</f>
        <v>3195.366666666667</v>
      </c>
      <c r="K239" s="279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78">
        <f>109894/31</f>
        <v>3544.967741935484</v>
      </c>
      <c r="K240" s="279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78">
        <f>92416/30</f>
        <v>3080.5333333333333</v>
      </c>
      <c r="K241" s="279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78">
        <f>112945/31</f>
        <v>3643.3870967741937</v>
      </c>
      <c r="K242" s="279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78">
        <f>115529/31</f>
        <v>3726.7419354838707</v>
      </c>
      <c r="K243" s="279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78">
        <f>111777/30</f>
        <v>3725.9</v>
      </c>
      <c r="K244" s="279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78">
        <f>110419/31</f>
        <v>3561.9032258064517</v>
      </c>
      <c r="K245" s="279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78">
        <f>105792/30</f>
        <v>3526.4</v>
      </c>
      <c r="K246" s="279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78">
        <f>110534/31</f>
        <v>3565.6129032258063</v>
      </c>
      <c r="K247" s="279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80">
        <f>110291/31</f>
        <v>3557.7741935483873</v>
      </c>
      <c r="K248" s="281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80">
        <f>101369/28</f>
        <v>3620.3214285714284</v>
      </c>
      <c r="K249" s="281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80">
        <f>112963/31</f>
        <v>3643.967741935484</v>
      </c>
      <c r="K250" s="281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80">
        <f>108338/30</f>
        <v>3611.266666666667</v>
      </c>
      <c r="K251" s="281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80">
        <f>109035/31</f>
        <v>3517.2580645161293</v>
      </c>
      <c r="K252" s="281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80">
        <v>3547</v>
      </c>
      <c r="K253" s="281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80">
        <v>3668.6129032258063</v>
      </c>
      <c r="K254" s="281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80">
        <v>3622.1612903225805</v>
      </c>
      <c r="K255" s="281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80">
        <v>3566</v>
      </c>
      <c r="K256" s="281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80">
        <v>3564</v>
      </c>
      <c r="K257" s="281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80">
        <v>3483.9666666666667</v>
      </c>
      <c r="K258" s="281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90">
        <v>3553.451612903226</v>
      </c>
      <c r="K259" s="291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88">
        <v>3458.1612903225805</v>
      </c>
      <c r="K260" s="289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88">
        <v>3550.9285714285716</v>
      </c>
      <c r="K261" s="289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88">
        <v>3401.6451612903224</v>
      </c>
      <c r="K262" s="289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88">
        <v>3415.6666666666665</v>
      </c>
      <c r="K263" s="289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88">
        <v>3440.967741935484</v>
      </c>
      <c r="K264" s="289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88">
        <v>3394.3</v>
      </c>
      <c r="K265" s="289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88">
        <v>3407.064516129032</v>
      </c>
      <c r="K266" s="289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88">
        <v>3457.12903225806</v>
      </c>
      <c r="K267" s="289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88">
        <v>3365.76666666667</v>
      </c>
      <c r="K268" s="289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88">
        <v>3472.967741935484</v>
      </c>
      <c r="K269" s="289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88">
        <v>3349.4</v>
      </c>
      <c r="K270" s="289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88">
        <v>3288.8709677419356</v>
      </c>
      <c r="K271" s="289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92">
        <v>3243.32258064516</v>
      </c>
      <c r="K272" s="293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92">
        <v>3242.896551724138</v>
      </c>
      <c r="K273" s="293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92">
        <v>2940.90322580645</v>
      </c>
      <c r="K274" s="293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92">
        <v>3179.33333333333</v>
      </c>
      <c r="K275" s="293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92">
        <v>3165.16129032258</v>
      </c>
      <c r="K276" s="293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92">
        <v>3254.866666666667</v>
      </c>
      <c r="K277" s="293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92">
        <v>3235.8387096774195</v>
      </c>
      <c r="K278" s="293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>+AI304-AI303</f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>+AI305-AI304</f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>+AI306-AI305</f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>+AI307-AI306</f>
        <v>-2642</v>
      </c>
    </row>
    <row r="308" spans="3:37" ht="12.75">
      <c r="C308" s="268">
        <f>+C307+0.0833333</f>
        <v>2019.0833233000149</v>
      </c>
      <c r="D308" s="269">
        <v>43466</v>
      </c>
      <c r="E308" s="270"/>
      <c r="F308" s="270"/>
      <c r="G308" s="270"/>
      <c r="H308" s="270"/>
      <c r="I308" s="270"/>
      <c r="J308" s="270"/>
      <c r="K308" s="270"/>
      <c r="L308" s="270"/>
      <c r="M308" s="270"/>
      <c r="N308" s="270"/>
      <c r="O308" s="270"/>
      <c r="P308" s="270"/>
      <c r="Q308" s="270"/>
      <c r="R308" s="270"/>
      <c r="S308" s="270"/>
      <c r="T308" s="270"/>
      <c r="U308" s="270"/>
      <c r="V308" s="270"/>
      <c r="W308" s="270"/>
      <c r="X308" s="270"/>
      <c r="Y308" s="270"/>
      <c r="Z308" s="270"/>
      <c r="AA308" s="270"/>
      <c r="AB308" s="270"/>
      <c r="AC308" s="270"/>
      <c r="AD308" s="270"/>
      <c r="AE308" s="270"/>
      <c r="AF308" s="270"/>
      <c r="AG308" s="270"/>
      <c r="AH308" s="270"/>
      <c r="AI308" s="271">
        <v>131290</v>
      </c>
      <c r="AJ308" s="272">
        <v>136605</v>
      </c>
      <c r="AK308" s="273">
        <f>+AI308-AI307</f>
        <v>-8987</v>
      </c>
    </row>
    <row r="309" spans="3:37" ht="12.75">
      <c r="C309" s="268">
        <f>+C308+0.0833333</f>
        <v>2019.166656600015</v>
      </c>
      <c r="D309" s="269">
        <v>43497</v>
      </c>
      <c r="E309" s="270"/>
      <c r="F309" s="270"/>
      <c r="G309" s="270"/>
      <c r="H309" s="270"/>
      <c r="I309" s="270"/>
      <c r="J309" s="270"/>
      <c r="K309" s="270"/>
      <c r="L309" s="270"/>
      <c r="M309" s="270"/>
      <c r="N309" s="270"/>
      <c r="O309" s="270"/>
      <c r="P309" s="270"/>
      <c r="Q309" s="270"/>
      <c r="R309" s="270"/>
      <c r="S309" s="270"/>
      <c r="T309" s="270"/>
      <c r="U309" s="270"/>
      <c r="V309" s="270"/>
      <c r="W309" s="270"/>
      <c r="X309" s="270"/>
      <c r="Y309" s="270"/>
      <c r="Z309" s="270"/>
      <c r="AA309" s="270"/>
      <c r="AB309" s="270"/>
      <c r="AC309" s="270"/>
      <c r="AD309" s="270"/>
      <c r="AE309" s="270"/>
      <c r="AF309" s="270"/>
      <c r="AG309" s="270"/>
      <c r="AH309" s="270"/>
      <c r="AI309" s="271">
        <v>142489</v>
      </c>
      <c r="AJ309" s="272">
        <v>136605</v>
      </c>
      <c r="AK309" s="273">
        <f>+AI309-AI308</f>
        <v>11199</v>
      </c>
    </row>
  </sheetData>
  <sheetProtection/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215:K215"/>
    <mergeCell ref="J208:K208"/>
    <mergeCell ref="J209:K209"/>
    <mergeCell ref="J207:K207"/>
    <mergeCell ref="J216:K216"/>
    <mergeCell ref="J210:K210"/>
    <mergeCell ref="J214:K21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5:K105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ySplit="4" topLeftCell="A287" activePane="bottomLeft" state="frozen"/>
      <selection pane="topLeft" activeCell="AI291" sqref="AI291"/>
      <selection pane="bottomLeft" activeCell="N306" sqref="N306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294" t="s">
        <v>31</v>
      </c>
      <c r="AG11" s="294"/>
      <c r="AH11" s="294"/>
      <c r="AI11" s="294"/>
      <c r="AJ11" s="294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294" t="s">
        <v>32</v>
      </c>
      <c r="AG12" s="294"/>
      <c r="AH12" s="294"/>
      <c r="AI12" s="294"/>
      <c r="AJ12" s="294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294" t="s">
        <v>33</v>
      </c>
      <c r="AG13" s="294"/>
      <c r="AH13" s="294"/>
      <c r="AI13" s="294"/>
      <c r="AJ13" s="294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6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>N304-N303</f>
        <v>37196.95429999987</v>
      </c>
    </row>
    <row r="305" spans="2:16" ht="12.75">
      <c r="B305" s="274">
        <f t="shared" si="14"/>
        <v>2019.083323300013</v>
      </c>
      <c r="C305" s="275">
        <v>43466</v>
      </c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  <c r="N305" s="272">
        <v>1315946.6183</v>
      </c>
      <c r="O305" s="272">
        <v>1315946.6183</v>
      </c>
      <c r="P305" s="276">
        <f>N305-N304</f>
        <v>-96134.35089999996</v>
      </c>
    </row>
    <row r="306" spans="2:16" ht="12.75">
      <c r="B306" s="274">
        <f t="shared" si="14"/>
        <v>2019.166656600013</v>
      </c>
      <c r="C306" s="275">
        <v>43497</v>
      </c>
      <c r="D306" s="277"/>
      <c r="E306" s="277"/>
      <c r="F306" s="277"/>
      <c r="G306" s="277"/>
      <c r="H306" s="277"/>
      <c r="I306" s="277"/>
      <c r="J306" s="277"/>
      <c r="K306" s="277"/>
      <c r="L306" s="277"/>
      <c r="M306" s="277"/>
      <c r="N306" s="272">
        <v>1264159.3536</v>
      </c>
      <c r="O306" s="272">
        <v>1291369.6116</v>
      </c>
      <c r="P306" s="276">
        <f>N306-N305</f>
        <v>-51787.26469999994</v>
      </c>
    </row>
    <row r="307" spans="2:6" ht="12.75">
      <c r="B307"/>
      <c r="D307"/>
      <c r="E307" s="20"/>
      <c r="F307" s="20"/>
    </row>
    <row r="308" spans="2:6" ht="12.75">
      <c r="B308"/>
      <c r="D308"/>
      <c r="E308" s="20"/>
      <c r="F308" s="20"/>
    </row>
    <row r="309" spans="2:6" ht="12.75">
      <c r="B309"/>
      <c r="D309"/>
      <c r="E309" s="20"/>
      <c r="F309" s="20"/>
    </row>
    <row r="310" spans="2:6" ht="12.75">
      <c r="B310"/>
      <c r="D310"/>
      <c r="E310" s="20"/>
      <c r="F310" s="20"/>
    </row>
    <row r="311" spans="2:6" ht="12.75">
      <c r="B311"/>
      <c r="D311"/>
      <c r="E311" s="20"/>
      <c r="F311" s="20"/>
    </row>
    <row r="312" spans="2:6" ht="12.75">
      <c r="B312"/>
      <c r="D312"/>
      <c r="E312" s="20"/>
      <c r="F312" s="20"/>
    </row>
    <row r="313" spans="2:6" ht="12.75">
      <c r="B313"/>
      <c r="D313"/>
      <c r="E313" s="20"/>
      <c r="F313" s="20"/>
    </row>
    <row r="314" spans="2:6" ht="12.75">
      <c r="B314"/>
      <c r="D314"/>
      <c r="E314" s="20"/>
      <c r="F314" s="20"/>
    </row>
    <row r="315" spans="2:6" ht="12.75">
      <c r="B315"/>
      <c r="D315"/>
      <c r="E315" s="20"/>
      <c r="F315" s="20"/>
    </row>
    <row r="316" spans="2:6" ht="12.75">
      <c r="B316"/>
      <c r="D316"/>
      <c r="E316" s="20"/>
      <c r="F316" s="20"/>
    </row>
    <row r="317" spans="2:6" ht="12.75">
      <c r="B317"/>
      <c r="D317"/>
      <c r="E317" s="20"/>
      <c r="F317" s="20"/>
    </row>
    <row r="318" spans="2:6" ht="12.75">
      <c r="B318"/>
      <c r="D318"/>
      <c r="E318" s="20"/>
      <c r="F318" s="20"/>
    </row>
    <row r="319" spans="2:6" ht="12.75">
      <c r="B319"/>
      <c r="D319"/>
      <c r="E319" s="20"/>
      <c r="F319" s="20"/>
    </row>
    <row r="320" spans="2:6" ht="12.75">
      <c r="B320"/>
      <c r="D320"/>
      <c r="E320" s="20"/>
      <c r="F320" s="20"/>
    </row>
    <row r="321" spans="2:6" ht="12.75">
      <c r="B321"/>
      <c r="D321"/>
      <c r="E321" s="20"/>
      <c r="F321" s="20"/>
    </row>
    <row r="322" spans="2:6" ht="12.75">
      <c r="B322"/>
      <c r="D322"/>
      <c r="E322" s="20"/>
      <c r="F322" s="20"/>
    </row>
    <row r="323" spans="2:6" ht="12.75">
      <c r="B323"/>
      <c r="D323"/>
      <c r="E323" s="20"/>
      <c r="F323" s="20"/>
    </row>
    <row r="324" spans="2:6" ht="12.75">
      <c r="B324"/>
      <c r="D324"/>
      <c r="E324" s="20"/>
      <c r="F324" s="20"/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V110"/>
  <sheetViews>
    <sheetView tabSelected="1" zoomScale="98" zoomScaleNormal="98" zoomScalePageLayoutView="0" workbookViewId="0" topLeftCell="A54">
      <selection activeCell="Q65" sqref="Q65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3.71093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295" t="s">
        <v>68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31"/>
      <c r="N2" s="231"/>
    </row>
    <row r="3" spans="1:13" ht="15.75" customHeight="1">
      <c r="A3" s="232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32"/>
    </row>
    <row r="4" ht="12.75">
      <c r="N4" s="230" t="s">
        <v>49</v>
      </c>
    </row>
    <row r="5" spans="14:15" ht="12.75">
      <c r="N5" s="233"/>
      <c r="O5" s="233"/>
    </row>
    <row r="17" ht="12.75">
      <c r="N17" s="230" t="s">
        <v>57</v>
      </c>
    </row>
    <row r="20" ht="12.75">
      <c r="V20" s="230" t="s">
        <v>66</v>
      </c>
    </row>
    <row r="31" ht="18" customHeight="1"/>
    <row r="32" ht="15.75">
      <c r="C32" s="234" t="s">
        <v>48</v>
      </c>
    </row>
    <row r="33" ht="16.5" customHeight="1">
      <c r="C33" s="234" t="s">
        <v>67</v>
      </c>
    </row>
    <row r="34" spans="3:13" ht="92.25" customHeight="1">
      <c r="C34" s="300" t="s">
        <v>69</v>
      </c>
      <c r="D34" s="300"/>
      <c r="E34" s="300"/>
      <c r="F34" s="300"/>
      <c r="G34" s="300"/>
      <c r="H34" s="300"/>
      <c r="I34" s="300"/>
      <c r="J34" s="300"/>
      <c r="K34" s="300"/>
      <c r="L34" s="300"/>
      <c r="M34" s="267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2.75">
      <c r="N53" s="238"/>
    </row>
    <row r="67" ht="12.75">
      <c r="N67" s="233"/>
    </row>
    <row r="78" ht="15.75">
      <c r="C78" s="234" t="s">
        <v>61</v>
      </c>
    </row>
    <row r="79" spans="3:13" ht="48.75" customHeight="1">
      <c r="C79" s="296" t="s">
        <v>70</v>
      </c>
      <c r="D79" s="296"/>
      <c r="E79" s="296"/>
      <c r="F79" s="296"/>
      <c r="G79" s="296"/>
      <c r="H79" s="296"/>
      <c r="I79" s="296"/>
      <c r="J79" s="296"/>
      <c r="K79" s="296"/>
      <c r="L79" s="296"/>
      <c r="M79" s="296"/>
    </row>
    <row r="80" ht="9" customHeight="1"/>
    <row r="81" spans="13:15" ht="44.25" customHeight="1">
      <c r="M81" s="239"/>
      <c r="O81" s="240"/>
    </row>
    <row r="82" spans="2:15" ht="46.5" customHeight="1">
      <c r="B82" s="298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39"/>
      <c r="O82" s="240"/>
    </row>
    <row r="83" spans="1:13" ht="4.5" customHeight="1">
      <c r="A83" s="235"/>
      <c r="B83" s="297" t="s">
        <v>57</v>
      </c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2.75">
      <c r="N87" s="240"/>
      <c r="O87" s="241"/>
    </row>
    <row r="110" ht="12.75">
      <c r="B110" s="230" t="s">
        <v>37</v>
      </c>
    </row>
  </sheetData>
  <sheetProtection/>
  <mergeCells count="5">
    <mergeCell ref="B2:L3"/>
    <mergeCell ref="C79:M79"/>
    <mergeCell ref="B83:L83"/>
    <mergeCell ref="B82:L82"/>
    <mergeCell ref="C34:L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70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2019-03-11T19:32:55Z</cp:lastPrinted>
  <dcterms:created xsi:type="dcterms:W3CDTF">1997-07-01T22:48:52Z</dcterms:created>
  <dcterms:modified xsi:type="dcterms:W3CDTF">2019-03-11T19:33:17Z</dcterms:modified>
  <cp:category/>
  <cp:version/>
  <cp:contentType/>
  <cp:contentStatus/>
</cp:coreProperties>
</file>